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05" windowWidth="19500" windowHeight="9990" activeTab="0"/>
  </bookViews>
  <sheets>
    <sheet name="partie 1" sheetId="1" r:id="rId1"/>
    <sheet name="partie 2" sheetId="2" r:id="rId2"/>
    <sheet name="rentabilité du projet" sheetId="3" r:id="rId3"/>
  </sheets>
  <definedNames/>
  <calcPr fullCalcOnLoad="1"/>
</workbook>
</file>

<file path=xl/sharedStrings.xml><?xml version="1.0" encoding="utf-8"?>
<sst xmlns="http://schemas.openxmlformats.org/spreadsheetml/2006/main" count="121" uniqueCount="108">
  <si>
    <t>Zones</t>
  </si>
  <si>
    <t>Primaire</t>
  </si>
  <si>
    <t xml:space="preserve">Isochrone </t>
  </si>
  <si>
    <t>Taux d'attraction</t>
  </si>
  <si>
    <t>Isochrones</t>
  </si>
  <si>
    <t>nb hbts</t>
  </si>
  <si>
    <t>Echantillon</t>
  </si>
  <si>
    <t>Clients de M.Leguen</t>
  </si>
  <si>
    <t>Clients potentiels</t>
  </si>
  <si>
    <t>Total z1</t>
  </si>
  <si>
    <t>Communes</t>
  </si>
  <si>
    <t>Caudan</t>
  </si>
  <si>
    <t>Lanester</t>
  </si>
  <si>
    <t>Larmor-plage</t>
  </si>
  <si>
    <t>Ploemeur</t>
  </si>
  <si>
    <t>Quéven</t>
  </si>
  <si>
    <t>Secondaire</t>
  </si>
  <si>
    <t>"8/150</t>
  </si>
  <si>
    <t>nb ménages</t>
  </si>
  <si>
    <t>nb pers/ménage</t>
  </si>
  <si>
    <t>secondaire</t>
  </si>
  <si>
    <t>nb hbts Lorient</t>
  </si>
  <si>
    <t>zone 1</t>
  </si>
  <si>
    <t>zone 2</t>
  </si>
  <si>
    <t>zone 3</t>
  </si>
  <si>
    <t>Total z3</t>
  </si>
  <si>
    <t>Total</t>
  </si>
  <si>
    <t>5 941*80*1,03</t>
  </si>
  <si>
    <t>Approche n °1</t>
  </si>
  <si>
    <t>Attractivité commerciale</t>
  </si>
  <si>
    <t>Chiffre d'affaires prévisionnel du futur point de vente</t>
  </si>
  <si>
    <t>Approche n °2</t>
  </si>
  <si>
    <t>31*1,26*26184</t>
  </si>
  <si>
    <t xml:space="preserve">Végétaux d'intérieur </t>
  </si>
  <si>
    <t>Lorient</t>
  </si>
  <si>
    <t>Banlieue</t>
  </si>
  <si>
    <t>31*0,89*(63675/2,7)</t>
  </si>
  <si>
    <t>Végétaux d'extérieur</t>
  </si>
  <si>
    <t>23,50*1,26*26184</t>
  </si>
  <si>
    <t>23,50*0,89*(63675/2,7)</t>
  </si>
  <si>
    <t>Marché potentiel</t>
  </si>
  <si>
    <t>Marché potentiel actualisé</t>
  </si>
  <si>
    <t>2 941 964,86 * 1,4375</t>
  </si>
  <si>
    <t>Chiffre d'affaires total</t>
  </si>
  <si>
    <t>Chiffre d'affaires végétaux</t>
  </si>
  <si>
    <t>422 904,45/0,86</t>
  </si>
  <si>
    <t>Approche n °3</t>
  </si>
  <si>
    <t>Nombre de passages par an :</t>
  </si>
  <si>
    <t>Approche très approximative</t>
  </si>
  <si>
    <t>Nombre de passages par jour :</t>
  </si>
  <si>
    <t>2 700 000/365</t>
  </si>
  <si>
    <t>On considèrera qu'au mois 70 % des passages se font au moment des heures ouvrables</t>
  </si>
  <si>
    <t>70 %*7 397</t>
  </si>
  <si>
    <t>A raison de 9 heures d'ouverture par jour</t>
  </si>
  <si>
    <t>5 178/9</t>
  </si>
  <si>
    <t>Nombre d'actes d'achat par jour</t>
  </si>
  <si>
    <t>(575*0,01*6)+(575*0,03*3)</t>
  </si>
  <si>
    <t>Nombre d'actes d'achat par an</t>
  </si>
  <si>
    <t>86*48*5</t>
  </si>
  <si>
    <t>Chiffre d'affaires</t>
  </si>
  <si>
    <t>20 640*10,21*1,2155*1,26</t>
  </si>
  <si>
    <t>Image de M.Leguen, qualité de sa gestion, compétences commerciales, étude de la zone de</t>
  </si>
  <si>
    <t>chalandise, (concurrence, potentiel de CA)….</t>
  </si>
  <si>
    <t>Pouvoir d'achat de la zone (IRV, IDC)….</t>
  </si>
  <si>
    <r>
      <t xml:space="preserve">Par ailleurs, la société Agriplan a élaboré un plan de développement financier </t>
    </r>
    <r>
      <rPr>
        <i/>
        <sz val="9.5"/>
        <rFont val="Garamond"/>
        <family val="1"/>
      </rPr>
      <t xml:space="preserve">(business plan) </t>
    </r>
    <r>
      <rPr>
        <sz val="8.5"/>
        <rFont val="Times New Roman"/>
        <family val="1"/>
      </rPr>
      <t>dont les éléments</t>
    </r>
  </si>
  <si>
    <t>sont les suivants</t>
  </si>
  <si>
    <t>Années</t>
  </si>
  <si>
    <t>Nombre de franchisés</t>
  </si>
  <si>
    <t>Chiffre d'affaires des franchisés</t>
  </si>
  <si>
    <t>Chiffre d'affaires du franchiseur</t>
  </si>
  <si>
    <t>• Redevance forfaitaire initiale</t>
  </si>
  <si>
    <t>• Redevance annuelle</t>
  </si>
  <si>
    <t>Charges</t>
  </si>
  <si>
    <t>• Publicité</t>
  </si>
  <si>
    <t>• Études de marchés franchisés</t>
  </si>
  <si>
    <t>• Formation</t>
  </si>
  <si>
    <t>• Assistance commerciale</t>
  </si>
  <si>
    <t>• Voyages et déplacements</t>
  </si>
  <si>
    <t xml:space="preserve">Directeur du développement </t>
  </si>
  <si>
    <t>Chef de produit</t>
  </si>
  <si>
    <t>Animateur du réseau</t>
  </si>
  <si>
    <t>Autres</t>
  </si>
  <si>
    <t>RIF=</t>
  </si>
  <si>
    <t>Salaires et charges sociales</t>
  </si>
  <si>
    <t>DAP</t>
  </si>
  <si>
    <t xml:space="preserve"> étude du marché et test du concept</t>
  </si>
  <si>
    <t xml:space="preserve">élaboration de l'identité visuelle </t>
  </si>
  <si>
    <t xml:space="preserve">rédaction-édition des manuels </t>
  </si>
  <si>
    <t>rédaction du contrat de franchise</t>
  </si>
  <si>
    <t>TOTAL</t>
  </si>
  <si>
    <t>5 ANS</t>
  </si>
  <si>
    <t>TOTAL DES CHARGES</t>
  </si>
  <si>
    <t>RESULTAT</t>
  </si>
  <si>
    <t>8 de +</t>
  </si>
  <si>
    <t>année 3</t>
  </si>
  <si>
    <t>les 8 premiers</t>
  </si>
  <si>
    <t>les 8 nvx</t>
  </si>
  <si>
    <t>versent</t>
  </si>
  <si>
    <t>Sur la base de 457 347  €</t>
  </si>
  <si>
    <t>0,6*457 347 *8*0,07</t>
  </si>
  <si>
    <t>perte au bout de 3 ans</t>
  </si>
  <si>
    <t>457 347*0,80</t>
  </si>
  <si>
    <t>457 437 * 0,6</t>
  </si>
  <si>
    <t>MB</t>
  </si>
  <si>
    <t>MB =</t>
  </si>
  <si>
    <t>CHARGES</t>
  </si>
  <si>
    <t>PRODUITS</t>
  </si>
  <si>
    <t>REX</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</si>
</sst>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
    <numFmt numFmtId="166" formatCode="0.000"/>
    <numFmt numFmtId="167" formatCode="0.0"/>
    <numFmt numFmtId="168" formatCode="0.000000"/>
    <numFmt numFmtId="169" formatCode="0.00000"/>
    <numFmt numFmtId="170" formatCode="_-* #,##0.0\ _€_-;\-* #,##0.0\ _€_-;_-* &quot;-&quot;??\ _€_-;_-@_-"/>
    <numFmt numFmtId="171" formatCode="_-* #,##0\ _€_-;\-* #,##0\ _€_-;_-* &quot;-&quot;??\ _€_-;_-@_-"/>
    <numFmt numFmtId="172" formatCode="_-* #,##0.0\ &quot;€&quot;_-;\-* #,##0.0\ &quot;€&quot;_-;_-* &quot;-&quot;??\ &quot;€&quot;_-;_-@_-"/>
    <numFmt numFmtId="173" formatCode="_-* #,##0\ &quot;€&quot;_-;\-* #,##0\ &quot;€&quot;_-;_-* &quot;-&quot;??\ &quot;€&quot;_-;_-@_-"/>
  </numFmts>
  <fonts count="48">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Accounting"/>
      <sz val="10"/>
      <name val="Arial"/>
      <family val="2"/>
    </font>
    <font>
      <sz val="12"/>
      <name val="Times New Roman"/>
      <family val="1"/>
    </font>
    <font>
      <sz val="10"/>
      <name val="Times New Roman"/>
      <family val="1"/>
    </font>
    <font>
      <sz val="8.5"/>
      <name val="Times New Roman"/>
      <family val="1"/>
    </font>
    <font>
      <i/>
      <sz val="9.5"/>
      <name val="Garamond"/>
      <family val="1"/>
    </font>
    <font>
      <sz val="11"/>
      <name val="Times New Roman"/>
      <family val="1"/>
    </font>
    <font>
      <b/>
      <sz val="8.5"/>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u val="single"/>
      <sz val="10"/>
      <color indexed="8"/>
      <name val="Arial"/>
      <family val="0"/>
    </font>
    <font>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44" fontId="0" fillId="0" borderId="0" applyFont="0" applyFill="0" applyBorder="0" applyAlignment="0" applyProtection="0"/>
    <xf numFmtId="0" fontId="37"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18">
    <xf numFmtId="0" fontId="0" fillId="0" borderId="0" xfId="0" applyAlignment="1">
      <alignment/>
    </xf>
    <xf numFmtId="0" fontId="1" fillId="0" borderId="0" xfId="0" applyFont="1" applyAlignment="1">
      <alignment/>
    </xf>
    <xf numFmtId="0" fontId="0" fillId="0" borderId="10" xfId="0" applyBorder="1" applyAlignment="1">
      <alignment horizontal="center"/>
    </xf>
    <xf numFmtId="1" fontId="0" fillId="0" borderId="0" xfId="0" applyNumberFormat="1" applyAlignment="1">
      <alignment/>
    </xf>
    <xf numFmtId="0" fontId="0" fillId="0" borderId="10" xfId="0" applyBorder="1" applyAlignment="1">
      <alignment/>
    </xf>
    <xf numFmtId="9" fontId="0" fillId="0" borderId="10" xfId="53" applyFont="1" applyBorder="1" applyAlignment="1">
      <alignment/>
    </xf>
    <xf numFmtId="1" fontId="0" fillId="0" borderId="10" xfId="0" applyNumberFormat="1"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10" xfId="0" applyFont="1" applyBorder="1" applyAlignment="1">
      <alignment/>
    </xf>
    <xf numFmtId="0" fontId="1" fillId="0" borderId="10" xfId="0" applyFont="1" applyBorder="1" applyAlignment="1">
      <alignment horizontal="center"/>
    </xf>
    <xf numFmtId="3" fontId="0" fillId="0" borderId="0" xfId="0" applyNumberFormat="1" applyAlignment="1">
      <alignment/>
    </xf>
    <xf numFmtId="3" fontId="0" fillId="0" borderId="10" xfId="0" applyNumberFormat="1" applyBorder="1" applyAlignment="1">
      <alignment horizontal="center"/>
    </xf>
    <xf numFmtId="3" fontId="0" fillId="0" borderId="14" xfId="0" applyNumberFormat="1" applyBorder="1" applyAlignment="1">
      <alignment/>
    </xf>
    <xf numFmtId="3" fontId="0" fillId="0" borderId="10" xfId="0" applyNumberFormat="1" applyBorder="1" applyAlignment="1">
      <alignment/>
    </xf>
    <xf numFmtId="10" fontId="0" fillId="0" borderId="10" xfId="53" applyNumberFormat="1" applyFont="1" applyBorder="1" applyAlignment="1">
      <alignment/>
    </xf>
    <xf numFmtId="3" fontId="0" fillId="0" borderId="18" xfId="0" applyNumberFormat="1" applyBorder="1" applyAlignment="1">
      <alignment/>
    </xf>
    <xf numFmtId="1" fontId="0" fillId="0" borderId="18"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horizontal="center"/>
    </xf>
    <xf numFmtId="10" fontId="0" fillId="0" borderId="10" xfId="53" applyNumberFormat="1" applyFont="1" applyFill="1" applyBorder="1" applyAlignment="1">
      <alignment/>
    </xf>
    <xf numFmtId="0" fontId="0" fillId="0" borderId="17" xfId="0" applyBorder="1" applyAlignment="1">
      <alignment horizontal="center"/>
    </xf>
    <xf numFmtId="44" fontId="0" fillId="0" borderId="0" xfId="44" applyFont="1" applyAlignment="1">
      <alignment/>
    </xf>
    <xf numFmtId="0" fontId="4" fillId="0" borderId="0" xfId="0" applyFont="1" applyAlignment="1">
      <alignment/>
    </xf>
    <xf numFmtId="44" fontId="0" fillId="0" borderId="0" xfId="0" applyNumberFormat="1" applyAlignment="1">
      <alignment/>
    </xf>
    <xf numFmtId="44" fontId="5" fillId="0" borderId="0" xfId="44" applyFont="1" applyAlignment="1">
      <alignment/>
    </xf>
    <xf numFmtId="44" fontId="1" fillId="0" borderId="0" xfId="0" applyNumberFormat="1" applyFont="1" applyAlignment="1">
      <alignment/>
    </xf>
    <xf numFmtId="44" fontId="1" fillId="0" borderId="0" xfId="44" applyFont="1" applyAlignment="1">
      <alignment/>
    </xf>
    <xf numFmtId="9" fontId="0" fillId="0" borderId="0" xfId="0" applyNumberFormat="1" applyAlignment="1">
      <alignment/>
    </xf>
    <xf numFmtId="171" fontId="0" fillId="0" borderId="0" xfId="48" applyNumberFormat="1" applyFont="1" applyAlignment="1">
      <alignment/>
    </xf>
    <xf numFmtId="3" fontId="1" fillId="0" borderId="0" xfId="0" applyNumberFormat="1" applyFont="1" applyAlignment="1">
      <alignment/>
    </xf>
    <xf numFmtId="1" fontId="1" fillId="0" borderId="0" xfId="0" applyNumberFormat="1" applyFont="1" applyAlignment="1">
      <alignment/>
    </xf>
    <xf numFmtId="44" fontId="4" fillId="0" borderId="0" xfId="0" applyNumberFormat="1" applyFont="1" applyAlignment="1">
      <alignment/>
    </xf>
    <xf numFmtId="0" fontId="8" fillId="0" borderId="22" xfId="0" applyFont="1" applyBorder="1" applyAlignment="1">
      <alignment horizontal="center" vertical="top" wrapText="1"/>
    </xf>
    <xf numFmtId="0" fontId="7" fillId="0" borderId="14" xfId="0" applyFont="1" applyBorder="1" applyAlignment="1">
      <alignment vertical="top" wrapText="1"/>
    </xf>
    <xf numFmtId="0" fontId="8" fillId="0" borderId="14" xfId="0" applyFont="1" applyBorder="1" applyAlignment="1">
      <alignment horizontal="center" vertical="top" wrapText="1"/>
    </xf>
    <xf numFmtId="3" fontId="8" fillId="0" borderId="14" xfId="0" applyNumberFormat="1" applyFont="1" applyBorder="1" applyAlignment="1">
      <alignment horizontal="center" vertical="top" wrapText="1"/>
    </xf>
    <xf numFmtId="0" fontId="8" fillId="0" borderId="14" xfId="0" applyFont="1" applyBorder="1" applyAlignment="1">
      <alignment vertical="top" wrapText="1"/>
    </xf>
    <xf numFmtId="0" fontId="8" fillId="0" borderId="13" xfId="0" applyFont="1" applyBorder="1" applyAlignment="1">
      <alignment vertical="top" wrapText="1"/>
    </xf>
    <xf numFmtId="0" fontId="8" fillId="0" borderId="0" xfId="0" applyFont="1" applyBorder="1" applyAlignment="1">
      <alignment vertical="top" wrapText="1"/>
    </xf>
    <xf numFmtId="0" fontId="8" fillId="0" borderId="17" xfId="0" applyFont="1" applyBorder="1" applyAlignment="1">
      <alignment horizontal="center" vertical="top" wrapText="1"/>
    </xf>
    <xf numFmtId="0" fontId="10" fillId="0" borderId="17" xfId="0" applyFont="1" applyBorder="1" applyAlignment="1">
      <alignment horizontal="center" vertical="top" wrapText="1"/>
    </xf>
    <xf numFmtId="0" fontId="8" fillId="0" borderId="10" xfId="0" applyFont="1" applyBorder="1" applyAlignment="1">
      <alignment horizontal="center" vertical="top" wrapText="1"/>
    </xf>
    <xf numFmtId="0" fontId="8" fillId="0" borderId="10" xfId="0" applyFont="1" applyBorder="1" applyAlignment="1">
      <alignment vertical="top" wrapText="1"/>
    </xf>
    <xf numFmtId="3" fontId="8" fillId="0" borderId="10" xfId="0" applyNumberFormat="1" applyFont="1" applyBorder="1" applyAlignment="1">
      <alignment horizontal="center" vertical="top" wrapText="1"/>
    </xf>
    <xf numFmtId="3" fontId="7" fillId="0" borderId="14" xfId="0" applyNumberFormat="1" applyFont="1" applyBorder="1" applyAlignment="1">
      <alignment vertical="top" wrapText="1"/>
    </xf>
    <xf numFmtId="171" fontId="8" fillId="0" borderId="14" xfId="48" applyNumberFormat="1" applyFont="1" applyBorder="1" applyAlignment="1">
      <alignment horizontal="center" vertical="top" wrapText="1"/>
    </xf>
    <xf numFmtId="0" fontId="11" fillId="0" borderId="10" xfId="0" applyFont="1" applyBorder="1" applyAlignment="1">
      <alignment horizontal="center" vertical="top" wrapText="1"/>
    </xf>
    <xf numFmtId="171" fontId="11" fillId="0" borderId="10" xfId="48" applyNumberFormat="1" applyFont="1" applyBorder="1" applyAlignment="1">
      <alignment vertical="top" wrapText="1"/>
    </xf>
    <xf numFmtId="0" fontId="7" fillId="0" borderId="23" xfId="0" applyFont="1" applyBorder="1" applyAlignment="1">
      <alignment vertical="top" wrapText="1"/>
    </xf>
    <xf numFmtId="3" fontId="11" fillId="0" borderId="22" xfId="0" applyNumberFormat="1" applyFont="1" applyBorder="1" applyAlignment="1">
      <alignment horizontal="center" vertical="top" wrapText="1"/>
    </xf>
    <xf numFmtId="171" fontId="11" fillId="0" borderId="10" xfId="48" applyNumberFormat="1" applyFont="1" applyBorder="1" applyAlignment="1">
      <alignment horizontal="center" vertical="top" wrapText="1"/>
    </xf>
    <xf numFmtId="171" fontId="0" fillId="0" borderId="0" xfId="0" applyNumberFormat="1" applyAlignment="1">
      <alignment/>
    </xf>
    <xf numFmtId="0" fontId="1" fillId="0" borderId="20" xfId="0" applyFont="1" applyBorder="1" applyAlignment="1">
      <alignment/>
    </xf>
    <xf numFmtId="3" fontId="1" fillId="0" borderId="20" xfId="0" applyNumberFormat="1" applyFont="1" applyBorder="1" applyAlignment="1">
      <alignment/>
    </xf>
    <xf numFmtId="171" fontId="0" fillId="0" borderId="10" xfId="48" applyNumberFormat="1" applyFont="1" applyBorder="1" applyAlignment="1">
      <alignment/>
    </xf>
    <xf numFmtId="171" fontId="1" fillId="0" borderId="10" xfId="48" applyNumberFormat="1" applyFont="1" applyBorder="1" applyAlignment="1">
      <alignment/>
    </xf>
    <xf numFmtId="3" fontId="1" fillId="0" borderId="13" xfId="0" applyNumberFormat="1" applyFont="1" applyBorder="1" applyAlignment="1">
      <alignment/>
    </xf>
    <xf numFmtId="3" fontId="1" fillId="0" borderId="0" xfId="0" applyNumberFormat="1" applyFont="1" applyBorder="1" applyAlignment="1">
      <alignment/>
    </xf>
    <xf numFmtId="0" fontId="8" fillId="0" borderId="0" xfId="0" applyFont="1" applyBorder="1" applyAlignment="1">
      <alignment horizontal="left" vertical="top" wrapText="1"/>
    </xf>
    <xf numFmtId="0" fontId="1" fillId="0" borderId="12" xfId="0" applyFont="1" applyBorder="1" applyAlignment="1">
      <alignment/>
    </xf>
    <xf numFmtId="171" fontId="1" fillId="0" borderId="23" xfId="48" applyNumberFormat="1" applyFont="1" applyBorder="1" applyAlignment="1">
      <alignment/>
    </xf>
    <xf numFmtId="0" fontId="1" fillId="0" borderId="0" xfId="0" applyFont="1" applyBorder="1" applyAlignment="1">
      <alignment/>
    </xf>
    <xf numFmtId="171" fontId="1" fillId="0" borderId="14" xfId="48" applyNumberFormat="1" applyFont="1" applyBorder="1" applyAlignment="1">
      <alignment/>
    </xf>
    <xf numFmtId="0" fontId="0" fillId="0" borderId="24" xfId="0" applyBorder="1" applyAlignment="1">
      <alignment/>
    </xf>
    <xf numFmtId="0" fontId="6" fillId="0" borderId="24" xfId="0" applyFont="1" applyBorder="1" applyAlignment="1">
      <alignment/>
    </xf>
    <xf numFmtId="44" fontId="1" fillId="0" borderId="24" xfId="44" applyFont="1" applyBorder="1" applyAlignment="1">
      <alignment/>
    </xf>
    <xf numFmtId="44" fontId="1" fillId="0" borderId="17" xfId="44" applyFont="1" applyBorder="1" applyAlignment="1">
      <alignment/>
    </xf>
    <xf numFmtId="0" fontId="0" fillId="33" borderId="21" xfId="0" applyFill="1" applyBorder="1" applyAlignment="1">
      <alignment/>
    </xf>
    <xf numFmtId="173" fontId="0" fillId="33" borderId="17" xfId="0" applyNumberFormat="1" applyFill="1" applyBorder="1" applyAlignment="1">
      <alignment/>
    </xf>
    <xf numFmtId="3" fontId="0" fillId="0" borderId="12" xfId="0" applyNumberFormat="1" applyBorder="1" applyAlignment="1">
      <alignment/>
    </xf>
    <xf numFmtId="173" fontId="0" fillId="0" borderId="23" xfId="44" applyNumberFormat="1" applyFont="1" applyBorder="1" applyAlignment="1">
      <alignment/>
    </xf>
    <xf numFmtId="0" fontId="1" fillId="0" borderId="23" xfId="0" applyFont="1" applyBorder="1" applyAlignment="1">
      <alignment horizontal="center"/>
    </xf>
    <xf numFmtId="9" fontId="1" fillId="0" borderId="22" xfId="53" applyFont="1" applyBorder="1" applyAlignment="1">
      <alignment horizontal="center"/>
    </xf>
    <xf numFmtId="3" fontId="1" fillId="0" borderId="22" xfId="0" applyNumberFormat="1" applyFont="1" applyBorder="1" applyAlignment="1">
      <alignment/>
    </xf>
    <xf numFmtId="3" fontId="0" fillId="0" borderId="23" xfId="0" applyNumberFormat="1" applyBorder="1" applyAlignment="1">
      <alignment/>
    </xf>
    <xf numFmtId="3" fontId="0" fillId="0" borderId="22" xfId="0" applyNumberFormat="1" applyBorder="1" applyAlignment="1">
      <alignment/>
    </xf>
    <xf numFmtId="0" fontId="0" fillId="0" borderId="23" xfId="0" applyBorder="1" applyAlignment="1">
      <alignment/>
    </xf>
    <xf numFmtId="3" fontId="0" fillId="0" borderId="16" xfId="0" applyNumberFormat="1" applyBorder="1" applyAlignment="1">
      <alignment/>
    </xf>
    <xf numFmtId="0" fontId="0" fillId="0" borderId="16" xfId="0" applyFill="1" applyBorder="1" applyAlignment="1">
      <alignment horizontal="center"/>
    </xf>
    <xf numFmtId="0" fontId="0" fillId="0" borderId="10" xfId="0" applyFill="1" applyBorder="1" applyAlignment="1">
      <alignment horizontal="center"/>
    </xf>
    <xf numFmtId="0" fontId="1" fillId="0" borderId="10" xfId="0" applyFont="1" applyBorder="1" applyAlignment="1">
      <alignment horizontal="center"/>
    </xf>
    <xf numFmtId="0" fontId="0" fillId="0" borderId="11"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8" fillId="0" borderId="13" xfId="0" applyFont="1" applyBorder="1" applyAlignment="1">
      <alignment vertical="top" wrapText="1"/>
    </xf>
    <xf numFmtId="0" fontId="8" fillId="0" borderId="14" xfId="0" applyFont="1" applyBorder="1" applyAlignment="1">
      <alignment vertical="top" wrapText="1"/>
    </xf>
    <xf numFmtId="0" fontId="11" fillId="0" borderId="10" xfId="0" applyFont="1" applyBorder="1" applyAlignment="1">
      <alignment vertical="top" wrapText="1"/>
    </xf>
    <xf numFmtId="0" fontId="8" fillId="0" borderId="11" xfId="0" applyFont="1" applyBorder="1" applyAlignment="1">
      <alignment vertical="top" wrapText="1"/>
    </xf>
    <xf numFmtId="0" fontId="8" fillId="0" borderId="23" xfId="0" applyFont="1" applyBorder="1" applyAlignment="1">
      <alignment vertical="top" wrapText="1"/>
    </xf>
    <xf numFmtId="0" fontId="11" fillId="0" borderId="15" xfId="0" applyFont="1" applyBorder="1" applyAlignment="1">
      <alignment horizontal="center" vertical="top" wrapText="1"/>
    </xf>
    <xf numFmtId="0" fontId="11" fillId="0" borderId="22" xfId="0" applyFont="1" applyBorder="1" applyAlignment="1">
      <alignment horizontal="center" vertical="top" wrapText="1"/>
    </xf>
    <xf numFmtId="0" fontId="8" fillId="0" borderId="0" xfId="0" applyFont="1" applyAlignment="1">
      <alignment vertical="top" wrapText="1"/>
    </xf>
    <xf numFmtId="0" fontId="8" fillId="0" borderId="0" xfId="0" applyFont="1" applyBorder="1" applyAlignment="1">
      <alignment vertical="top" wrapText="1"/>
    </xf>
    <xf numFmtId="3" fontId="11" fillId="0" borderId="10" xfId="0" applyNumberFormat="1" applyFont="1" applyBorder="1" applyAlignment="1">
      <alignment horizontal="center" vertical="top" wrapText="1"/>
    </xf>
    <xf numFmtId="3" fontId="8" fillId="0" borderId="10" xfId="0" applyNumberFormat="1" applyFont="1" applyBorder="1" applyAlignment="1">
      <alignment horizontal="center" vertical="top" wrapText="1"/>
    </xf>
    <xf numFmtId="0" fontId="8" fillId="0" borderId="15" xfId="0" applyFont="1" applyBorder="1" applyAlignment="1">
      <alignment vertical="top" wrapText="1"/>
    </xf>
    <xf numFmtId="0" fontId="8" fillId="0" borderId="22" xfId="0" applyFont="1" applyBorder="1" applyAlignment="1">
      <alignment vertical="top" wrapText="1"/>
    </xf>
    <xf numFmtId="0" fontId="8" fillId="0" borderId="21" xfId="0" applyFont="1" applyBorder="1" applyAlignment="1">
      <alignment vertical="top" wrapText="1"/>
    </xf>
    <xf numFmtId="0" fontId="8" fillId="0" borderId="17" xfId="0" applyFont="1" applyBorder="1" applyAlignment="1">
      <alignment vertical="top" wrapText="1"/>
    </xf>
    <xf numFmtId="0" fontId="11" fillId="0" borderId="21" xfId="0" applyFont="1" applyBorder="1" applyAlignment="1">
      <alignment vertical="top" wrapText="1"/>
    </xf>
    <xf numFmtId="0" fontId="11" fillId="0" borderId="17" xfId="0" applyFont="1" applyBorder="1" applyAlignment="1">
      <alignment vertical="top" wrapText="1"/>
    </xf>
    <xf numFmtId="0" fontId="11" fillId="0" borderId="15" xfId="0" applyFont="1" applyBorder="1" applyAlignment="1">
      <alignment vertical="top" wrapText="1"/>
    </xf>
    <xf numFmtId="0" fontId="11" fillId="0" borderId="22" xfId="0" applyFont="1" applyBorder="1" applyAlignment="1">
      <alignment vertical="top" wrapText="1"/>
    </xf>
    <xf numFmtId="3" fontId="0" fillId="0" borderId="10" xfId="0" applyNumberFormat="1" applyBorder="1" applyAlignment="1">
      <alignment horizontal="center"/>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5</xdr:col>
      <xdr:colOff>819150</xdr:colOff>
      <xdr:row>6</xdr:row>
      <xdr:rowOff>9525</xdr:rowOff>
    </xdr:to>
    <xdr:sp>
      <xdr:nvSpPr>
        <xdr:cNvPr id="1" name="Text Box 1"/>
        <xdr:cNvSpPr txBox="1">
          <a:spLocks noChangeArrowheads="1"/>
        </xdr:cNvSpPr>
      </xdr:nvSpPr>
      <xdr:spPr>
        <a:xfrm>
          <a:off x="19050" y="200025"/>
          <a:ext cx="5486400" cy="7810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1. Approche à partir de l'attractivité commerciale du point de vente actuel : </a:t>
          </a:r>
          <a:r>
            <a:rPr lang="en-US" cap="none" sz="1000" b="0" i="0" u="none" baseline="0">
              <a:solidFill>
                <a:srgbClr val="000000"/>
              </a:solidFill>
              <a:latin typeface="Arial"/>
              <a:ea typeface="Arial"/>
              <a:cs typeface="Arial"/>
            </a:rPr>
            <a:t>on considère que la notoriété et l'attractivité peuvent être reconduites lors du passage de M. Leguen sous l'enseigne Fleurus. Le panier moyen des dépenses annuelles selon une enquête locale est de 80 € H.T. par habitant. La hausse des prix estimée depuis cette enquête est de 3%.</a:t>
          </a:r>
        </a:p>
      </xdr:txBody>
    </xdr:sp>
    <xdr:clientData/>
  </xdr:twoCellAnchor>
  <xdr:twoCellAnchor>
    <xdr:from>
      <xdr:col>0</xdr:col>
      <xdr:colOff>9525</xdr:colOff>
      <xdr:row>11</xdr:row>
      <xdr:rowOff>57150</xdr:rowOff>
    </xdr:from>
    <xdr:to>
      <xdr:col>5</xdr:col>
      <xdr:colOff>742950</xdr:colOff>
      <xdr:row>21</xdr:row>
      <xdr:rowOff>142875</xdr:rowOff>
    </xdr:to>
    <xdr:sp>
      <xdr:nvSpPr>
        <xdr:cNvPr id="2" name="Text Box 2"/>
        <xdr:cNvSpPr txBox="1">
          <a:spLocks noChangeArrowheads="1"/>
        </xdr:cNvSpPr>
      </xdr:nvSpPr>
      <xdr:spPr>
        <a:xfrm>
          <a:off x="9525" y="1838325"/>
          <a:ext cx="5419725" cy="17049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2</a:t>
          </a:r>
          <a:r>
            <a:rPr lang="en-US" cap="none" sz="1000" b="1" i="0" u="sng" baseline="0">
              <a:solidFill>
                <a:srgbClr val="000000"/>
              </a:solidFill>
              <a:latin typeface="Arial"/>
              <a:ea typeface="Arial"/>
              <a:cs typeface="Arial"/>
            </a:rPr>
            <a:t>. Approche à partir des dépenses consacrées aux végétaux d'intérieur et d'extérieur</a:t>
          </a:r>
          <a:r>
            <a:rPr lang="en-US" cap="none" sz="1000" b="0" i="0" u="none" baseline="0">
              <a:solidFill>
                <a:srgbClr val="000000"/>
              </a:solidFill>
              <a:latin typeface="Arial"/>
              <a:ea typeface="Arial"/>
              <a:cs typeface="Arial"/>
            </a:rPr>
            <a:t> : cette démarche part des statistiques professionnelles publiées par le Comité national interprofessionnel d'horticulture (C.N.I.H.), qui fournissent les chiffres des dépenses en francs, au niveau national, pour l'année, par ménage, consacrées aux végétaux d'intérieur (31 € H.T) ainsi que la dépense de l'année, par ménage, consacrée aux végétaux d'extérieur (23,50 €  H.T). Les montants donnés par le C.N.I.H. doivent être corrigés d'un coefficient d'actualisation de 1,4375 pour le calcul du chiffre d'affaires du futur franchisé. L'institut Proscop indique que l'indice de richesse vive est de 0,89 (population du Morbihan : 601 600) et celui de Lorient est de 1,26. Les ventes de végétaux représentent 86 % des ventes, le reste étant constitué par les fleurs à la pièce. Le chiffre d'affaires sera estimé à 10 % du marché potentiel sur Lorient et la région proche.</a:t>
          </a:r>
        </a:p>
      </xdr:txBody>
    </xdr:sp>
    <xdr:clientData/>
  </xdr:twoCellAnchor>
  <xdr:twoCellAnchor>
    <xdr:from>
      <xdr:col>6</xdr:col>
      <xdr:colOff>76200</xdr:colOff>
      <xdr:row>1</xdr:row>
      <xdr:rowOff>57150</xdr:rowOff>
    </xdr:from>
    <xdr:to>
      <xdr:col>11</xdr:col>
      <xdr:colOff>733425</xdr:colOff>
      <xdr:row>14</xdr:row>
      <xdr:rowOff>85725</xdr:rowOff>
    </xdr:to>
    <xdr:sp>
      <xdr:nvSpPr>
        <xdr:cNvPr id="3" name="Text Box 3"/>
        <xdr:cNvSpPr txBox="1">
          <a:spLocks noChangeArrowheads="1"/>
        </xdr:cNvSpPr>
      </xdr:nvSpPr>
      <xdr:spPr>
        <a:xfrm>
          <a:off x="5734050" y="219075"/>
          <a:ext cx="5343525" cy="2133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3. Approche par comptage :</a:t>
          </a:r>
          <a:r>
            <a:rPr lang="en-US" cap="none" sz="1000" b="0" i="0" u="none" baseline="0">
              <a:solidFill>
                <a:srgbClr val="000000"/>
              </a:solidFill>
              <a:latin typeface="Arial"/>
              <a:ea typeface="Arial"/>
              <a:cs typeface="Arial"/>
            </a:rPr>
            <a:t> une analyse effectuée sur un échantillon de 10 000 personnes passant devant le point de vente de M. Leguen a permis de constater qu'aux heures de forte fréquentation (11 h-12 h, 16h-17 h, 18 h 30-19 h 30), environ 3 % des passants entrent dans le point de vente et y effectuent un achat. Aux heures de fréquentation normale, seulement 1% des passants entrent dans le magasin et y effectuent un achat. D'après les flux de circulation de voitures et les estimations de comptage piétons, les statistiques des services de la Direction départementale de l'équipement et de la ville de Lorient donnent un nombre total de 2 700 000 passages par an devant le magasin. Le panel du C.N.I.H. indique que la dépense moyenne par acte d'achat est de 10,21 € H.T au niveau national (coefficient d'actualisation nécessaire de 1,2155). Les horaires d'ouverture du point de vente sont 9 h-12 h 30 et 14 h-19 h 30. Le point de vente est ouvert 5 jours sur 7 pendant 48 semaines par an. On considèrera qu'au mois 70 % des passages se font au moment des heures ouvrables.</a:t>
          </a:r>
        </a:p>
      </xdr:txBody>
    </xdr:sp>
    <xdr:clientData/>
  </xdr:twoCellAnchor>
  <xdr:twoCellAnchor>
    <xdr:from>
      <xdr:col>6</xdr:col>
      <xdr:colOff>47625</xdr:colOff>
      <xdr:row>27</xdr:row>
      <xdr:rowOff>28575</xdr:rowOff>
    </xdr:from>
    <xdr:to>
      <xdr:col>11</xdr:col>
      <xdr:colOff>476250</xdr:colOff>
      <xdr:row>32</xdr:row>
      <xdr:rowOff>95250</xdr:rowOff>
    </xdr:to>
    <xdr:sp>
      <xdr:nvSpPr>
        <xdr:cNvPr id="4" name="Text Box 4"/>
        <xdr:cNvSpPr txBox="1">
          <a:spLocks noChangeArrowheads="1"/>
        </xdr:cNvSpPr>
      </xdr:nvSpPr>
      <xdr:spPr>
        <a:xfrm>
          <a:off x="5705475" y="4400550"/>
          <a:ext cx="5114925" cy="904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2 premières approches sont concordantes, elles sont à privilégier….L'approche 3 repose sur des hypothèses pas très fiables, elle a le mérite de concevoir le potentiel en terme de passages, ce qui est loin d'être négligeable, dans une optique de prudence, il est raisonnable de retenir un CAHT = 457 347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xdr:row>
      <xdr:rowOff>38100</xdr:rowOff>
    </xdr:from>
    <xdr:to>
      <xdr:col>12</xdr:col>
      <xdr:colOff>666750</xdr:colOff>
      <xdr:row>9</xdr:row>
      <xdr:rowOff>114300</xdr:rowOff>
    </xdr:to>
    <xdr:sp>
      <xdr:nvSpPr>
        <xdr:cNvPr id="1" name="Text Box 1"/>
        <xdr:cNvSpPr txBox="1">
          <a:spLocks noChangeArrowheads="1"/>
        </xdr:cNvSpPr>
      </xdr:nvSpPr>
      <xdr:spPr>
        <a:xfrm>
          <a:off x="5838825" y="200025"/>
          <a:ext cx="4676775" cy="1400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Afin de créer son réseau de franchise, la société Agriplan a engagé des dépenses d'investissement en recherche-développement (amortissables sur cinq ans) : étude du marché et test du concept (30 490 €), élaboration de l'identité visuelle et des aménagements avec un cabinet d'architectes (53 358 €), rédaction-édition des manuels opératoires (12 196 €), rédaction du contrat de franchise avec un avocat (6 098 €). La redevance forfaitaire initiale demandée par Agriplan S.A. aux franchisés est de 19 819 € H.T En outre, chaque franchisé doit verser une redevance annuelle égale à 7 % de son chiffre d'affaires.</a:t>
          </a:r>
        </a:p>
      </xdr:txBody>
    </xdr:sp>
    <xdr:clientData/>
  </xdr:twoCellAnchor>
  <xdr:twoCellAnchor>
    <xdr:from>
      <xdr:col>7</xdr:col>
      <xdr:colOff>104775</xdr:colOff>
      <xdr:row>14</xdr:row>
      <xdr:rowOff>133350</xdr:rowOff>
    </xdr:from>
    <xdr:to>
      <xdr:col>12</xdr:col>
      <xdr:colOff>523875</xdr:colOff>
      <xdr:row>14</xdr:row>
      <xdr:rowOff>600075</xdr:rowOff>
    </xdr:to>
    <xdr:sp>
      <xdr:nvSpPr>
        <xdr:cNvPr id="2" name="Text Box 2"/>
        <xdr:cNvSpPr txBox="1">
          <a:spLocks noChangeArrowheads="1"/>
        </xdr:cNvSpPr>
      </xdr:nvSpPr>
      <xdr:spPr>
        <a:xfrm>
          <a:off x="5800725" y="2428875"/>
          <a:ext cx="4572000" cy="4667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Les rémunérations versées (charges sociales comprises) aux responsables du développement de la franchise Agriplan seront les suivantes</a:t>
          </a:r>
        </a:p>
      </xdr:txBody>
    </xdr:sp>
    <xdr:clientData/>
  </xdr:twoCellAnchor>
  <xdr:twoCellAnchor>
    <xdr:from>
      <xdr:col>0</xdr:col>
      <xdr:colOff>123825</xdr:colOff>
      <xdr:row>19</xdr:row>
      <xdr:rowOff>114300</xdr:rowOff>
    </xdr:from>
    <xdr:to>
      <xdr:col>5</xdr:col>
      <xdr:colOff>504825</xdr:colOff>
      <xdr:row>31</xdr:row>
      <xdr:rowOff>142875</xdr:rowOff>
    </xdr:to>
    <xdr:sp>
      <xdr:nvSpPr>
        <xdr:cNvPr id="3" name="Text Box 3"/>
        <xdr:cNvSpPr txBox="1">
          <a:spLocks noChangeArrowheads="1"/>
        </xdr:cNvSpPr>
      </xdr:nvSpPr>
      <xdr:spPr>
        <a:xfrm>
          <a:off x="123825" y="4400550"/>
          <a:ext cx="4476750" cy="1971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Le plan financier montre qu"au bout de trois ans le franchiseur supporte une perte de 38 258 €. Si on tient compte de l'actualisation, la perte s'élève à : 46 502 € ; elle reste donc importante au bout de 3 ans.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on part sur l'hypothèse d'une sabilisation à 16 franchisés réalisant 100 % du CAHT, on aurait : 457 347*0,07*16 = 512 229 €.
</a:t>
          </a:r>
          <a:r>
            <a:rPr lang="en-US" cap="none" sz="1000" b="0" i="0" u="none" baseline="0">
              <a:solidFill>
                <a:srgbClr val="000000"/>
              </a:solidFill>
              <a:latin typeface="Arial"/>
              <a:ea typeface="Arial"/>
              <a:cs typeface="Arial"/>
            </a:rPr>
            <a:t>si les charges restent stables, soit 381 000, la marge serait = 131 230 €
</a:t>
          </a:r>
          <a:r>
            <a:rPr lang="en-US" cap="none" sz="1000" b="0" i="0" u="none" baseline="0">
              <a:solidFill>
                <a:srgbClr val="000000"/>
              </a:solidFill>
              <a:latin typeface="Arial"/>
              <a:ea typeface="Arial"/>
              <a:cs typeface="Arial"/>
            </a:rPr>
            <a:t>ce qui représente une rentabilité d'exploitation de 131 230/512 229 = 26 %.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mais l'investissement reste lourd, certains postes doivent être revus à la baisse, et l'activité reste rentable si l'on atteint le nb de 16 franchiseurs.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7"/>
  <sheetViews>
    <sheetView tabSelected="1" zoomScalePageLayoutView="0" workbookViewId="0" topLeftCell="A1">
      <selection activeCell="I4" sqref="I4:J7"/>
    </sheetView>
  </sheetViews>
  <sheetFormatPr defaultColWidth="11.421875" defaultRowHeight="12.75"/>
  <cols>
    <col min="4" max="4" width="19.28125" style="0" customWidth="1"/>
    <col min="9" max="9" width="14.140625" style="0" bestFit="1" customWidth="1"/>
    <col min="10" max="10" width="14.57421875" style="0" bestFit="1" customWidth="1"/>
  </cols>
  <sheetData>
    <row r="1" spans="1:10" ht="12.75">
      <c r="A1" s="21" t="s">
        <v>4</v>
      </c>
      <c r="B1" s="21" t="s">
        <v>5</v>
      </c>
      <c r="C1" s="21" t="s">
        <v>6</v>
      </c>
      <c r="D1" s="21" t="s">
        <v>7</v>
      </c>
      <c r="G1" s="93" t="s">
        <v>0</v>
      </c>
      <c r="H1" s="94"/>
      <c r="I1" s="14" t="s">
        <v>3</v>
      </c>
      <c r="J1" s="4" t="s">
        <v>8</v>
      </c>
    </row>
    <row r="2" spans="1:10" ht="12.75">
      <c r="A2" s="2">
        <v>1</v>
      </c>
      <c r="B2" s="2">
        <v>139</v>
      </c>
      <c r="C2" s="2">
        <v>50</v>
      </c>
      <c r="D2" s="2">
        <v>45</v>
      </c>
      <c r="G2" s="95" t="s">
        <v>1</v>
      </c>
      <c r="H2" s="96"/>
      <c r="I2" s="10"/>
      <c r="J2" s="11"/>
    </row>
    <row r="3" spans="1:10" ht="12.75">
      <c r="A3" s="2">
        <v>2</v>
      </c>
      <c r="B3" s="2">
        <v>539</v>
      </c>
      <c r="C3" s="2">
        <v>50</v>
      </c>
      <c r="D3" s="2">
        <v>36</v>
      </c>
      <c r="G3" s="15" t="s">
        <v>2</v>
      </c>
      <c r="H3" s="19">
        <v>1</v>
      </c>
      <c r="I3" s="5">
        <f>D2/C2</f>
        <v>0.9</v>
      </c>
      <c r="J3" s="6">
        <f>B2*I3</f>
        <v>125.10000000000001</v>
      </c>
    </row>
    <row r="4" spans="1:10" ht="12.75">
      <c r="A4" s="2">
        <v>3</v>
      </c>
      <c r="B4" s="2">
        <v>679</v>
      </c>
      <c r="C4" s="2">
        <v>50</v>
      </c>
      <c r="D4" s="2">
        <v>36</v>
      </c>
      <c r="G4" s="16"/>
      <c r="H4" s="14">
        <v>2</v>
      </c>
      <c r="I4" s="5">
        <f>D3/C3</f>
        <v>0.72</v>
      </c>
      <c r="J4" s="6">
        <f>B3*I4</f>
        <v>388.08</v>
      </c>
    </row>
    <row r="5" spans="1:10" ht="12.75">
      <c r="A5" s="2">
        <v>4</v>
      </c>
      <c r="B5" s="2">
        <v>986</v>
      </c>
      <c r="C5" s="2">
        <v>50</v>
      </c>
      <c r="D5" s="2">
        <v>26</v>
      </c>
      <c r="G5" s="16"/>
      <c r="H5" s="14">
        <v>3</v>
      </c>
      <c r="I5" s="5">
        <f>D4/C4</f>
        <v>0.72</v>
      </c>
      <c r="J5" s="6">
        <f>B4*I5</f>
        <v>488.88</v>
      </c>
    </row>
    <row r="6" spans="1:10" ht="12.75">
      <c r="A6" s="2">
        <v>5</v>
      </c>
      <c r="B6" s="2">
        <v>1075</v>
      </c>
      <c r="C6" s="2">
        <v>50</v>
      </c>
      <c r="D6" s="2">
        <v>19</v>
      </c>
      <c r="G6" s="16"/>
      <c r="H6" s="14">
        <v>4</v>
      </c>
      <c r="I6" s="5">
        <f>D5/C5</f>
        <v>0.52</v>
      </c>
      <c r="J6" s="6">
        <f>B5*I6</f>
        <v>512.72</v>
      </c>
    </row>
    <row r="7" spans="2:10" ht="12.75">
      <c r="B7">
        <f>SUM(B2:B6)</f>
        <v>3418</v>
      </c>
      <c r="G7" s="17"/>
      <c r="H7" s="14">
        <v>5</v>
      </c>
      <c r="I7" s="5">
        <f>D6/C6</f>
        <v>0.38</v>
      </c>
      <c r="J7" s="28">
        <f>B6*I7</f>
        <v>408.5</v>
      </c>
    </row>
    <row r="8" spans="1:10" ht="12.75">
      <c r="A8" s="7" t="s">
        <v>20</v>
      </c>
      <c r="B8" s="8" t="s">
        <v>18</v>
      </c>
      <c r="C8" s="8" t="s">
        <v>19</v>
      </c>
      <c r="D8" s="88" t="s">
        <v>21</v>
      </c>
      <c r="G8" s="20" t="s">
        <v>9</v>
      </c>
      <c r="H8" s="13"/>
      <c r="I8" s="13"/>
      <c r="J8" s="29">
        <f>SUM(J3:J7)</f>
        <v>1923.28</v>
      </c>
    </row>
    <row r="9" spans="1:10" ht="12.75">
      <c r="A9" s="12"/>
      <c r="B9" s="89">
        <v>26184</v>
      </c>
      <c r="C9" s="90">
        <v>2.4</v>
      </c>
      <c r="D9" s="87">
        <f>B9*C9</f>
        <v>62841.6</v>
      </c>
      <c r="G9" s="30" t="s">
        <v>16</v>
      </c>
      <c r="H9" s="30" t="s">
        <v>17</v>
      </c>
      <c r="I9" s="31">
        <f>8/150</f>
        <v>0.05333333333333334</v>
      </c>
      <c r="J9" s="29">
        <f>D11*I9</f>
        <v>3169.2586666666666</v>
      </c>
    </row>
    <row r="10" spans="1:4" ht="12.75">
      <c r="A10" s="7" t="s">
        <v>22</v>
      </c>
      <c r="B10" s="8"/>
      <c r="C10" s="8"/>
      <c r="D10" s="86">
        <f>SUM(B2:B6)</f>
        <v>3418</v>
      </c>
    </row>
    <row r="11" spans="1:4" ht="12.75">
      <c r="A11" s="12" t="s">
        <v>23</v>
      </c>
      <c r="B11" s="13"/>
      <c r="C11" s="13"/>
      <c r="D11" s="87">
        <f>D9-D10</f>
        <v>59423.6</v>
      </c>
    </row>
    <row r="12" ht="12.75">
      <c r="D12" s="22"/>
    </row>
    <row r="13" spans="7:10" ht="12.75">
      <c r="G13" s="97" t="s">
        <v>24</v>
      </c>
      <c r="H13" s="97"/>
      <c r="I13" s="14" t="s">
        <v>3</v>
      </c>
      <c r="J13" s="14" t="s">
        <v>3</v>
      </c>
    </row>
    <row r="14" spans="1:10" ht="12.75">
      <c r="A14" s="21" t="s">
        <v>10</v>
      </c>
      <c r="B14" s="21" t="s">
        <v>5</v>
      </c>
      <c r="C14" s="21" t="s">
        <v>6</v>
      </c>
      <c r="D14" s="21" t="s">
        <v>7</v>
      </c>
      <c r="G14" s="15"/>
      <c r="H14" s="10"/>
      <c r="I14" s="10"/>
      <c r="J14" s="11"/>
    </row>
    <row r="15" spans="1:10" ht="12.75">
      <c r="A15" s="2" t="s">
        <v>11</v>
      </c>
      <c r="B15" s="23">
        <v>5819</v>
      </c>
      <c r="C15" s="2">
        <v>28</v>
      </c>
      <c r="D15" s="2">
        <v>0</v>
      </c>
      <c r="G15" s="16"/>
      <c r="H15" s="32" t="str">
        <f aca="true" t="shared" si="0" ref="H15:H20">A15</f>
        <v>Caudan</v>
      </c>
      <c r="I15" s="26">
        <v>0</v>
      </c>
      <c r="J15" s="25">
        <v>0</v>
      </c>
    </row>
    <row r="16" spans="1:10" ht="12.75">
      <c r="A16" s="2" t="s">
        <v>12</v>
      </c>
      <c r="B16" s="23">
        <v>22927</v>
      </c>
      <c r="C16" s="2">
        <v>108</v>
      </c>
      <c r="D16" s="2">
        <v>2</v>
      </c>
      <c r="G16" s="16"/>
      <c r="H16" s="32" t="str">
        <f t="shared" si="0"/>
        <v>Lanester</v>
      </c>
      <c r="I16" s="26">
        <f>D16/C16</f>
        <v>0.018518518518518517</v>
      </c>
      <c r="J16" s="25">
        <f>I16*B16</f>
        <v>424.5740740740741</v>
      </c>
    </row>
    <row r="17" spans="1:10" ht="12.75">
      <c r="A17" s="2" t="s">
        <v>13</v>
      </c>
      <c r="B17" s="23">
        <v>6381</v>
      </c>
      <c r="C17" s="2">
        <v>30</v>
      </c>
      <c r="D17" s="2">
        <v>0</v>
      </c>
      <c r="G17" s="16"/>
      <c r="H17" s="32" t="str">
        <f t="shared" si="0"/>
        <v>Larmor-plage</v>
      </c>
      <c r="I17" s="26">
        <f>D17/C17</f>
        <v>0</v>
      </c>
      <c r="J17" s="25">
        <f>I17*B17</f>
        <v>0</v>
      </c>
    </row>
    <row r="18" spans="1:10" ht="12.75">
      <c r="A18" s="2" t="s">
        <v>14</v>
      </c>
      <c r="B18" s="23">
        <v>20884</v>
      </c>
      <c r="C18" s="2">
        <v>98</v>
      </c>
      <c r="D18" s="2">
        <v>1</v>
      </c>
      <c r="G18" s="16"/>
      <c r="H18" s="32" t="str">
        <f t="shared" si="0"/>
        <v>Ploemeur</v>
      </c>
      <c r="I18" s="26">
        <f>D18/C18</f>
        <v>0.01020408163265306</v>
      </c>
      <c r="J18" s="25">
        <f>I18*B18</f>
        <v>213.1020408163265</v>
      </c>
    </row>
    <row r="19" spans="1:10" ht="12.75">
      <c r="A19" s="2" t="s">
        <v>15</v>
      </c>
      <c r="B19" s="23">
        <v>7664</v>
      </c>
      <c r="C19" s="2">
        <v>36</v>
      </c>
      <c r="D19" s="2">
        <v>1</v>
      </c>
      <c r="G19" s="17"/>
      <c r="H19" s="32" t="str">
        <f t="shared" si="0"/>
        <v>Quéven</v>
      </c>
      <c r="I19" s="26">
        <f>D19/C19</f>
        <v>0.027777777777777776</v>
      </c>
      <c r="J19" s="27">
        <f>I19*B19</f>
        <v>212.88888888888889</v>
      </c>
    </row>
    <row r="20" spans="1:10" ht="12.75">
      <c r="A20" s="91" t="s">
        <v>26</v>
      </c>
      <c r="B20" s="23">
        <f>SUM(B15:B19)</f>
        <v>63675</v>
      </c>
      <c r="G20" s="20" t="s">
        <v>25</v>
      </c>
      <c r="H20" s="13" t="str">
        <f t="shared" si="0"/>
        <v>Total</v>
      </c>
      <c r="I20" s="13"/>
      <c r="J20" s="29">
        <f>SUM(J15:J19)</f>
        <v>850.5650037792896</v>
      </c>
    </row>
    <row r="21" spans="7:10" ht="12.75">
      <c r="G21" s="92" t="s">
        <v>26</v>
      </c>
      <c r="H21" s="92"/>
      <c r="I21" s="92"/>
      <c r="J21" s="29">
        <f>J8+J9+J20</f>
        <v>5943.103670445956</v>
      </c>
    </row>
    <row r="25" ht="12.75">
      <c r="A25" t="s">
        <v>61</v>
      </c>
    </row>
    <row r="26" ht="12.75">
      <c r="A26" t="s">
        <v>62</v>
      </c>
    </row>
    <row r="27" ht="12.75">
      <c r="A27" t="s">
        <v>63</v>
      </c>
    </row>
  </sheetData>
  <sheetProtection/>
  <mergeCells count="4">
    <mergeCell ref="G21:I21"/>
    <mergeCell ref="G1:H1"/>
    <mergeCell ref="G2:H2"/>
    <mergeCell ref="G13:H13"/>
  </mergeCells>
  <printOptions/>
  <pageMargins left="0.7874015748031497" right="0.7874015748031497" top="0.984251968503937" bottom="0.984251968503937" header="0.5118110236220472" footer="0.5118110236220472"/>
  <pageSetup fitToHeight="1"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
      <selection activeCell="A8" sqref="A8"/>
    </sheetView>
  </sheetViews>
  <sheetFormatPr defaultColWidth="11.421875" defaultRowHeight="12.75"/>
  <cols>
    <col min="3" max="3" width="18.28125" style="0" customWidth="1"/>
    <col min="4" max="6" width="14.57421875" style="0" bestFit="1" customWidth="1"/>
    <col min="8" max="8" width="17.7109375" style="0" customWidth="1"/>
    <col min="9" max="9" width="16.140625" style="0" customWidth="1"/>
    <col min="10" max="10" width="12.00390625" style="0" bestFit="1" customWidth="1"/>
    <col min="11" max="11" width="13.00390625" style="0" bestFit="1" customWidth="1"/>
    <col min="13" max="13" width="14.57421875" style="0" bestFit="1" customWidth="1"/>
  </cols>
  <sheetData>
    <row r="1" spans="1:7" ht="12.75">
      <c r="A1" s="34" t="s">
        <v>28</v>
      </c>
      <c r="G1" s="34" t="s">
        <v>46</v>
      </c>
    </row>
    <row r="7" ht="12.75">
      <c r="A7" s="34" t="s">
        <v>29</v>
      </c>
    </row>
    <row r="8" spans="1:5" ht="12.75">
      <c r="A8" t="s">
        <v>27</v>
      </c>
      <c r="E8" s="35"/>
    </row>
    <row r="9" spans="1:5" ht="12.75">
      <c r="A9" t="s">
        <v>30</v>
      </c>
      <c r="E9" s="38">
        <f>5941*80*1.03</f>
        <v>489538.4</v>
      </c>
    </row>
    <row r="11" ht="12.75">
      <c r="A11" s="34" t="s">
        <v>31</v>
      </c>
    </row>
    <row r="16" ht="12.75">
      <c r="G16" s="34" t="s">
        <v>48</v>
      </c>
    </row>
    <row r="17" spans="7:9" ht="12.75">
      <c r="G17" s="1" t="s">
        <v>47</v>
      </c>
      <c r="I17" s="22">
        <v>2700000</v>
      </c>
    </row>
    <row r="18" spans="7:10" ht="12.75">
      <c r="G18" s="1" t="s">
        <v>49</v>
      </c>
      <c r="I18" t="s">
        <v>50</v>
      </c>
      <c r="J18" s="41">
        <f>2700000/365</f>
        <v>7397.260273972603</v>
      </c>
    </row>
    <row r="19" ht="12.75">
      <c r="G19" s="1" t="s">
        <v>51</v>
      </c>
    </row>
    <row r="20" spans="7:8" ht="12.75">
      <c r="G20" t="s">
        <v>52</v>
      </c>
      <c r="H20" s="40">
        <f>70%*7397</f>
        <v>5177.9</v>
      </c>
    </row>
    <row r="21" spans="7:11" ht="12.75">
      <c r="G21" s="1" t="s">
        <v>53</v>
      </c>
      <c r="K21" s="42">
        <f>(575*0.01*6)+(575*0.03*3)</f>
        <v>86.25</v>
      </c>
    </row>
    <row r="22" spans="7:11" ht="12.75">
      <c r="G22" t="s">
        <v>54</v>
      </c>
      <c r="H22" s="3">
        <f>5178/9</f>
        <v>575.3333333333334</v>
      </c>
      <c r="K22" s="1"/>
    </row>
    <row r="23" spans="7:11" ht="12.75">
      <c r="G23" s="1" t="s">
        <v>55</v>
      </c>
      <c r="I23" t="s">
        <v>56</v>
      </c>
      <c r="K23" s="38">
        <f>20640*10.21*1.2155</f>
        <v>256147.66320000004</v>
      </c>
    </row>
    <row r="24" spans="1:11" ht="12.75">
      <c r="A24" s="1" t="s">
        <v>33</v>
      </c>
      <c r="G24" s="1" t="s">
        <v>57</v>
      </c>
      <c r="I24" t="s">
        <v>58</v>
      </c>
      <c r="J24" s="40">
        <f>86*48*5</f>
        <v>20640</v>
      </c>
      <c r="K24" s="1"/>
    </row>
    <row r="25" spans="2:13" ht="12.75">
      <c r="B25" t="s">
        <v>34</v>
      </c>
      <c r="C25" t="s">
        <v>32</v>
      </c>
      <c r="D25" s="33">
        <f>31*1.26*26184</f>
        <v>1022747.04</v>
      </c>
      <c r="G25" s="1" t="s">
        <v>59</v>
      </c>
      <c r="I25" t="s">
        <v>60</v>
      </c>
      <c r="K25" s="38">
        <f>20640*10.21*1.2155*1.26</f>
        <v>322746.05563200003</v>
      </c>
      <c r="M25" s="35"/>
    </row>
    <row r="26" spans="2:4" ht="12.75">
      <c r="B26" t="s">
        <v>35</v>
      </c>
      <c r="C26" t="s">
        <v>36</v>
      </c>
      <c r="D26" s="33">
        <f>31*0.89*(63675/2.7)</f>
        <v>650664.1666666666</v>
      </c>
    </row>
    <row r="27" spans="1:4" ht="12.75">
      <c r="A27" s="1" t="s">
        <v>37</v>
      </c>
      <c r="D27" s="33"/>
    </row>
    <row r="28" spans="2:4" ht="12.75">
      <c r="B28" t="s">
        <v>34</v>
      </c>
      <c r="C28" t="s">
        <v>38</v>
      </c>
      <c r="D28" s="33">
        <f>23.5*1.26*26184</f>
        <v>775308.24</v>
      </c>
    </row>
    <row r="29" spans="2:4" ht="15">
      <c r="B29" t="s">
        <v>35</v>
      </c>
      <c r="C29" t="s">
        <v>39</v>
      </c>
      <c r="D29" s="36">
        <f>23.5*0.89*(63675/2.7)</f>
        <v>493245.4166666666</v>
      </c>
    </row>
    <row r="31" spans="1:4" ht="12.75">
      <c r="A31" s="1" t="s">
        <v>40</v>
      </c>
      <c r="C31" s="1"/>
      <c r="D31" s="37">
        <f>SUM(D25:D29)</f>
        <v>2941964.863333333</v>
      </c>
    </row>
    <row r="33" spans="1:3" ht="12.75">
      <c r="A33" s="1" t="s">
        <v>41</v>
      </c>
      <c r="C33" s="1"/>
    </row>
    <row r="34" spans="3:8" ht="12.75">
      <c r="C34" t="s">
        <v>42</v>
      </c>
      <c r="D34" s="38">
        <f>2941964.86*1.4375</f>
        <v>4229074.48625</v>
      </c>
      <c r="G34" s="34"/>
      <c r="H34" s="43"/>
    </row>
    <row r="36" ht="12.75">
      <c r="A36" s="1" t="s">
        <v>44</v>
      </c>
    </row>
    <row r="37" spans="3:4" ht="12.75">
      <c r="C37" s="39">
        <v>0.1</v>
      </c>
      <c r="D37" s="37">
        <f>D34*C37</f>
        <v>422907.448625</v>
      </c>
    </row>
    <row r="39" ht="12.75">
      <c r="A39" s="1" t="s">
        <v>43</v>
      </c>
    </row>
    <row r="40" spans="3:9" ht="12.75">
      <c r="C40" t="s">
        <v>45</v>
      </c>
      <c r="D40" s="38">
        <f>422904.45/0.86</f>
        <v>491749.3604651163</v>
      </c>
      <c r="F40" s="35"/>
      <c r="I40" s="22"/>
    </row>
    <row r="42" ht="12.75">
      <c r="D42" s="35"/>
    </row>
  </sheetData>
  <sheetProtection/>
  <printOptions/>
  <pageMargins left="0.7874015748031497" right="0.7874015748031497" top="0.984251968503937" bottom="0.984251968503937" header="0.5118110236220472" footer="0.5118110236220472"/>
  <pageSetup fitToHeight="1" fitToWidth="1" orientation="landscape" paperSize="9" scale="7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zoomScalePageLayoutView="0" workbookViewId="0" topLeftCell="A1">
      <selection activeCell="G13" sqref="G13"/>
    </sheetView>
  </sheetViews>
  <sheetFormatPr defaultColWidth="11.421875" defaultRowHeight="12.75"/>
  <cols>
    <col min="3" max="3" width="12.00390625" style="0" bestFit="1" customWidth="1"/>
    <col min="4" max="4" width="14.57421875" style="0" bestFit="1" customWidth="1"/>
    <col min="5" max="6" width="12.00390625" style="0" bestFit="1" customWidth="1"/>
    <col min="7" max="7" width="12.00390625" style="0" customWidth="1"/>
    <col min="10" max="11" width="13.00390625" style="0" bestFit="1" customWidth="1"/>
    <col min="12" max="12" width="13.421875" style="0" customWidth="1"/>
    <col min="14" max="14" width="14.57421875" style="0" bestFit="1" customWidth="1"/>
  </cols>
  <sheetData>
    <row r="1" spans="1:10" ht="12.75">
      <c r="A1" s="105" t="s">
        <v>64</v>
      </c>
      <c r="B1" s="105"/>
      <c r="C1" s="105"/>
      <c r="D1" s="105"/>
      <c r="E1" s="105"/>
      <c r="F1" s="105"/>
      <c r="G1" s="105"/>
      <c r="H1" s="105"/>
      <c r="I1" s="105"/>
      <c r="J1" s="105"/>
    </row>
    <row r="2" spans="1:10" ht="12.75">
      <c r="A2" s="106" t="s">
        <v>65</v>
      </c>
      <c r="B2" s="106"/>
      <c r="C2" s="106"/>
      <c r="D2" s="106"/>
      <c r="E2" s="106"/>
      <c r="F2" s="106"/>
      <c r="G2" s="106"/>
      <c r="H2" s="106"/>
      <c r="I2" s="106"/>
      <c r="J2" s="106"/>
    </row>
    <row r="3" spans="1:5" ht="15">
      <c r="A3" s="111" t="s">
        <v>66</v>
      </c>
      <c r="B3" s="112"/>
      <c r="C3" s="51">
        <v>1</v>
      </c>
      <c r="D3" s="52">
        <v>2</v>
      </c>
      <c r="E3" s="52">
        <v>3</v>
      </c>
    </row>
    <row r="4" spans="1:6" ht="12.75">
      <c r="A4" s="101" t="s">
        <v>67</v>
      </c>
      <c r="B4" s="102"/>
      <c r="C4" s="53">
        <v>0</v>
      </c>
      <c r="D4" s="53">
        <v>8</v>
      </c>
      <c r="E4" s="53">
        <v>16</v>
      </c>
      <c r="F4" t="s">
        <v>93</v>
      </c>
    </row>
    <row r="5" spans="1:5" ht="12.75">
      <c r="A5" s="109" t="s">
        <v>68</v>
      </c>
      <c r="B5" s="110"/>
      <c r="C5" s="44">
        <v>0</v>
      </c>
      <c r="D5" s="66">
        <f>J12*D4*0.6</f>
        <v>2195265.6</v>
      </c>
      <c r="E5" s="53">
        <f>L34</f>
        <v>5122286.4</v>
      </c>
    </row>
    <row r="6" spans="1:5" ht="12.75">
      <c r="A6" s="98" t="s">
        <v>70</v>
      </c>
      <c r="B6" s="99"/>
      <c r="C6" s="46">
        <v>0</v>
      </c>
      <c r="D6" s="47">
        <f>K11</f>
        <v>158552</v>
      </c>
      <c r="E6" s="47">
        <f>L36</f>
        <v>158552</v>
      </c>
    </row>
    <row r="7" spans="1:7" ht="12.75">
      <c r="A7" s="98" t="s">
        <v>71</v>
      </c>
      <c r="B7" s="99"/>
      <c r="C7" s="46">
        <v>0</v>
      </c>
      <c r="D7" s="47">
        <f>D5*0.07</f>
        <v>153668.59200000003</v>
      </c>
      <c r="E7" s="57">
        <f>E5*0.07</f>
        <v>358560.04800000007</v>
      </c>
      <c r="F7" s="63"/>
      <c r="G7" s="63"/>
    </row>
    <row r="8" spans="1:7" ht="12.75">
      <c r="A8" s="100" t="s">
        <v>69</v>
      </c>
      <c r="B8" s="100"/>
      <c r="C8" s="58">
        <f>SUM(C6:C7)</f>
        <v>0</v>
      </c>
      <c r="D8" s="59">
        <f>SUM(D6:D7)</f>
        <v>312220.59200000006</v>
      </c>
      <c r="E8" s="62">
        <f>SUM(E6:E7)</f>
        <v>517112.04800000007</v>
      </c>
      <c r="F8" s="63"/>
      <c r="G8" s="63"/>
    </row>
    <row r="9" spans="1:5" ht="12.75">
      <c r="A9" s="101" t="s">
        <v>72</v>
      </c>
      <c r="B9" s="102"/>
      <c r="C9" s="60"/>
      <c r="D9" s="60"/>
      <c r="E9" s="60"/>
    </row>
    <row r="10" spans="1:5" ht="12.75">
      <c r="A10" s="98" t="s">
        <v>73</v>
      </c>
      <c r="B10" s="99"/>
      <c r="C10" s="47">
        <v>38113</v>
      </c>
      <c r="D10" s="47">
        <f>350000/6.55957</f>
        <v>53357.15603309363</v>
      </c>
      <c r="E10" s="47">
        <f>400000/6.55957</f>
        <v>60979.606894964156</v>
      </c>
    </row>
    <row r="11" spans="1:11" ht="12.75">
      <c r="A11" s="98" t="s">
        <v>74</v>
      </c>
      <c r="B11" s="99"/>
      <c r="C11" s="45"/>
      <c r="D11" s="47">
        <f>200000/6.55957</f>
        <v>30489.803447482078</v>
      </c>
      <c r="E11" s="47">
        <f>200000/6.55957</f>
        <v>30489.803447482078</v>
      </c>
      <c r="H11" t="s">
        <v>82</v>
      </c>
      <c r="I11" s="22">
        <v>19819</v>
      </c>
      <c r="J11">
        <v>8</v>
      </c>
      <c r="K11" s="22">
        <f>I11*J11</f>
        <v>158552</v>
      </c>
    </row>
    <row r="12" spans="1:11" ht="12.75">
      <c r="A12" s="98" t="s">
        <v>75</v>
      </c>
      <c r="B12" s="99"/>
      <c r="C12" s="45"/>
      <c r="D12" s="47">
        <f>60000/6.55957</f>
        <v>9146.941034244623</v>
      </c>
      <c r="E12" s="47">
        <f>120000/6.55957</f>
        <v>18293.882068489245</v>
      </c>
      <c r="H12" t="s">
        <v>98</v>
      </c>
      <c r="J12" s="22">
        <v>457347</v>
      </c>
      <c r="K12" s="22"/>
    </row>
    <row r="13" spans="1:11" ht="12.75">
      <c r="A13" s="98" t="s">
        <v>76</v>
      </c>
      <c r="B13" s="99"/>
      <c r="C13" s="45"/>
      <c r="D13" s="47">
        <v>11434</v>
      </c>
      <c r="E13" s="47">
        <f>225000/6.55957</f>
        <v>34301.02887841734</v>
      </c>
      <c r="F13" s="3"/>
      <c r="I13" t="s">
        <v>99</v>
      </c>
      <c r="J13" s="40">
        <f>0.6*J12*0.07*8</f>
        <v>153668.59200000003</v>
      </c>
      <c r="K13" s="22">
        <f>J13</f>
        <v>153668.59200000003</v>
      </c>
    </row>
    <row r="14" spans="1:11" ht="12.75">
      <c r="A14" s="98" t="s">
        <v>77</v>
      </c>
      <c r="B14" s="99"/>
      <c r="C14" s="47">
        <v>8232</v>
      </c>
      <c r="D14" s="47">
        <f>125000/6.55957</f>
        <v>19056.1271546763</v>
      </c>
      <c r="E14" s="47">
        <f>160000/6.55957</f>
        <v>24391.84275798566</v>
      </c>
      <c r="K14" s="22"/>
    </row>
    <row r="15" spans="1:16" ht="86.25" customHeight="1">
      <c r="A15" s="49" t="s">
        <v>83</v>
      </c>
      <c r="B15" s="48"/>
      <c r="C15" s="56">
        <f>+I21</f>
        <v>116624</v>
      </c>
      <c r="D15" s="47">
        <f>K21</f>
        <v>159310</v>
      </c>
      <c r="E15" s="47">
        <f>+L21</f>
        <v>192086</v>
      </c>
      <c r="H15" s="70"/>
      <c r="I15" s="70"/>
      <c r="J15" s="70"/>
      <c r="K15" s="70"/>
      <c r="L15" s="70"/>
      <c r="M15" s="70"/>
      <c r="N15" s="50"/>
      <c r="O15" s="50"/>
      <c r="P15" s="50"/>
    </row>
    <row r="16" spans="1:16" ht="12.75">
      <c r="A16" s="49" t="s">
        <v>84</v>
      </c>
      <c r="B16" s="48"/>
      <c r="C16" s="56">
        <f>+D16</f>
        <v>20428.4</v>
      </c>
      <c r="D16" s="47">
        <f>+K28</f>
        <v>20428.4</v>
      </c>
      <c r="E16" s="47">
        <f>+D16</f>
        <v>20428.4</v>
      </c>
      <c r="F16" s="3"/>
      <c r="G16" s="3"/>
      <c r="H16" s="106"/>
      <c r="I16" s="106"/>
      <c r="J16" s="106"/>
      <c r="K16" s="106"/>
      <c r="L16" s="106"/>
      <c r="M16" s="106"/>
      <c r="N16" s="106"/>
      <c r="O16" s="106"/>
      <c r="P16" s="106"/>
    </row>
    <row r="17" spans="1:12" ht="22.5">
      <c r="A17" s="103" t="s">
        <v>91</v>
      </c>
      <c r="B17" s="104"/>
      <c r="C17" s="61">
        <f>SUM(C10:C16)</f>
        <v>183397.4</v>
      </c>
      <c r="D17" s="61">
        <f>SUM(D10:D16)</f>
        <v>303222.4276694966</v>
      </c>
      <c r="E17" s="61">
        <f>SUM(E10:E16)</f>
        <v>380970.5640473385</v>
      </c>
      <c r="F17" s="3"/>
      <c r="H17" s="54" t="s">
        <v>78</v>
      </c>
      <c r="I17" s="107">
        <v>53357</v>
      </c>
      <c r="J17" s="107"/>
      <c r="K17" s="55">
        <f>+I17</f>
        <v>53357</v>
      </c>
      <c r="L17" s="55">
        <v>60980</v>
      </c>
    </row>
    <row r="18" spans="1:12" ht="12.75">
      <c r="A18" s="92" t="s">
        <v>92</v>
      </c>
      <c r="B18" s="92"/>
      <c r="C18" s="29">
        <f>+C8-C17</f>
        <v>-183397.4</v>
      </c>
      <c r="D18" s="29">
        <f>+D8-D17</f>
        <v>8998.164330503438</v>
      </c>
      <c r="E18" s="29">
        <f>+E8-E17</f>
        <v>136141.48395266157</v>
      </c>
      <c r="F18" s="68"/>
      <c r="G18" s="69"/>
      <c r="H18" s="54" t="s">
        <v>79</v>
      </c>
      <c r="I18" s="108">
        <v>42686</v>
      </c>
      <c r="J18" s="108"/>
      <c r="K18" s="55">
        <f>+I18</f>
        <v>42686</v>
      </c>
      <c r="L18" s="55">
        <v>47259</v>
      </c>
    </row>
    <row r="19" spans="1:12" ht="22.5">
      <c r="A19" s="18" t="s">
        <v>100</v>
      </c>
      <c r="B19" s="75"/>
      <c r="C19" s="77">
        <f>SUM(C18:E18)</f>
        <v>-38257.75171683499</v>
      </c>
      <c r="D19" s="76">
        <v>1.2155</v>
      </c>
      <c r="E19" s="78">
        <f>C19*D19</f>
        <v>-46502.297211812926</v>
      </c>
      <c r="H19" s="54" t="s">
        <v>80</v>
      </c>
      <c r="I19" s="108"/>
      <c r="J19" s="108"/>
      <c r="K19" s="55">
        <v>42686</v>
      </c>
      <c r="L19" s="55">
        <v>42686</v>
      </c>
    </row>
    <row r="20" spans="8:12" ht="12.75">
      <c r="H20" s="54" t="s">
        <v>81</v>
      </c>
      <c r="I20" s="108">
        <v>20581</v>
      </c>
      <c r="J20" s="108"/>
      <c r="K20" s="55">
        <v>20581</v>
      </c>
      <c r="L20" s="55">
        <v>41161</v>
      </c>
    </row>
    <row r="21" spans="8:12" ht="12.75">
      <c r="H21" s="12"/>
      <c r="I21" s="117">
        <f>SUM(I17:J20)</f>
        <v>116624</v>
      </c>
      <c r="J21" s="117"/>
      <c r="K21" s="25">
        <f>SUM(K17:K20)</f>
        <v>159310</v>
      </c>
      <c r="L21" s="25">
        <f>SUM(L17:L20)</f>
        <v>192086</v>
      </c>
    </row>
    <row r="23" spans="8:11" ht="12.75">
      <c r="H23" s="4" t="s">
        <v>85</v>
      </c>
      <c r="I23" s="4"/>
      <c r="J23" s="4"/>
      <c r="K23" s="25">
        <v>30490</v>
      </c>
    </row>
    <row r="24" spans="8:11" ht="12.75">
      <c r="H24" s="4" t="s">
        <v>86</v>
      </c>
      <c r="I24" s="4"/>
      <c r="J24" s="4"/>
      <c r="K24" s="25">
        <v>53358</v>
      </c>
    </row>
    <row r="25" spans="8:11" ht="12.75">
      <c r="H25" s="4" t="s">
        <v>87</v>
      </c>
      <c r="I25" s="4"/>
      <c r="J25" s="4"/>
      <c r="K25" s="25">
        <v>12196</v>
      </c>
    </row>
    <row r="26" spans="8:11" ht="12.75">
      <c r="H26" s="4" t="s">
        <v>88</v>
      </c>
      <c r="I26" s="4"/>
      <c r="J26" s="4"/>
      <c r="K26" s="25">
        <v>6098</v>
      </c>
    </row>
    <row r="27" spans="10:11" ht="12.75">
      <c r="J27" s="64" t="s">
        <v>89</v>
      </c>
      <c r="K27" s="65">
        <f>SUM(K23:K26)</f>
        <v>102142</v>
      </c>
    </row>
    <row r="28" spans="9:11" ht="12.75">
      <c r="I28" s="20" t="s">
        <v>84</v>
      </c>
      <c r="J28" s="20" t="s">
        <v>90</v>
      </c>
      <c r="K28" s="67">
        <f>+K27/5</f>
        <v>20428.4</v>
      </c>
    </row>
    <row r="30" ht="12.75">
      <c r="H30" s="1" t="s">
        <v>94</v>
      </c>
    </row>
    <row r="31" spans="8:9" ht="12.75">
      <c r="H31" s="113" t="s">
        <v>68</v>
      </c>
      <c r="I31" s="114"/>
    </row>
    <row r="32" spans="8:12" ht="12.75">
      <c r="H32" s="7" t="s">
        <v>95</v>
      </c>
      <c r="I32" s="8" t="s">
        <v>101</v>
      </c>
      <c r="J32" s="71">
        <f>J12*0.8</f>
        <v>365877.60000000003</v>
      </c>
      <c r="K32" s="8">
        <v>8</v>
      </c>
      <c r="L32" s="72">
        <f>J32*K32</f>
        <v>2927020.8000000003</v>
      </c>
    </row>
    <row r="33" spans="8:13" ht="12.75">
      <c r="H33" s="9" t="s">
        <v>96</v>
      </c>
      <c r="I33" s="10" t="s">
        <v>102</v>
      </c>
      <c r="J33" s="73">
        <f>J12*0.6</f>
        <v>274408.2</v>
      </c>
      <c r="K33" s="10">
        <v>8</v>
      </c>
      <c r="L33" s="74">
        <f>J33*K33</f>
        <v>2195265.6</v>
      </c>
      <c r="M33" s="10"/>
    </row>
    <row r="34" spans="8:14" ht="12.75">
      <c r="H34" s="9"/>
      <c r="I34" s="10"/>
      <c r="J34" s="10"/>
      <c r="K34" s="73" t="s">
        <v>89</v>
      </c>
      <c r="L34" s="74">
        <f>SUM(L32:L33)</f>
        <v>5122286.4</v>
      </c>
      <c r="M34" s="10"/>
      <c r="N34" s="10"/>
    </row>
    <row r="35" spans="8:12" ht="12.75">
      <c r="H35" s="9"/>
      <c r="I35" s="10"/>
      <c r="J35" s="10"/>
      <c r="K35" s="10"/>
      <c r="L35" s="11"/>
    </row>
    <row r="36" spans="8:12" ht="12.75">
      <c r="H36" s="115" t="s">
        <v>70</v>
      </c>
      <c r="I36" s="116"/>
      <c r="J36" s="13" t="s">
        <v>96</v>
      </c>
      <c r="K36" s="13" t="s">
        <v>97</v>
      </c>
      <c r="L36" s="85">
        <f>K11</f>
        <v>158552</v>
      </c>
    </row>
    <row r="38" spans="8:12" ht="12.75">
      <c r="H38" s="7" t="s">
        <v>106</v>
      </c>
      <c r="I38" s="81">
        <f>J12</f>
        <v>457347</v>
      </c>
      <c r="J38" s="8">
        <v>16</v>
      </c>
      <c r="K38" s="8">
        <v>0.07</v>
      </c>
      <c r="L38" s="82">
        <f>I38*J38*K38</f>
        <v>512228.6400000001</v>
      </c>
    </row>
    <row r="39" spans="8:13" ht="12.75">
      <c r="H39" s="9" t="s">
        <v>105</v>
      </c>
      <c r="I39" s="10"/>
      <c r="J39" s="10"/>
      <c r="K39" s="10"/>
      <c r="L39" s="24">
        <v>381000</v>
      </c>
      <c r="M39" s="83" t="s">
        <v>103</v>
      </c>
    </row>
    <row r="40" spans="8:13" ht="12.75">
      <c r="H40" s="12" t="s">
        <v>107</v>
      </c>
      <c r="I40" s="13"/>
      <c r="J40" s="13"/>
      <c r="K40" s="79" t="s">
        <v>104</v>
      </c>
      <c r="L40" s="80">
        <f>L38-L39</f>
        <v>131228.64000000007</v>
      </c>
      <c r="M40" s="84">
        <f>L40/L38</f>
        <v>0.2561915319690052</v>
      </c>
    </row>
  </sheetData>
  <sheetProtection/>
  <mergeCells count="24">
    <mergeCell ref="A3:B3"/>
    <mergeCell ref="H31:I31"/>
    <mergeCell ref="H36:I36"/>
    <mergeCell ref="I21:J21"/>
    <mergeCell ref="I19:J19"/>
    <mergeCell ref="I20:J20"/>
    <mergeCell ref="A6:B6"/>
    <mergeCell ref="A7:B7"/>
    <mergeCell ref="A18:B18"/>
    <mergeCell ref="A1:J1"/>
    <mergeCell ref="A2:J2"/>
    <mergeCell ref="H16:P16"/>
    <mergeCell ref="I17:J17"/>
    <mergeCell ref="I18:J18"/>
    <mergeCell ref="A14:B14"/>
    <mergeCell ref="A10:B10"/>
    <mergeCell ref="A4:B4"/>
    <mergeCell ref="A5:B5"/>
    <mergeCell ref="A11:B11"/>
    <mergeCell ref="A12:B12"/>
    <mergeCell ref="A13:B13"/>
    <mergeCell ref="A8:B8"/>
    <mergeCell ref="A9:B9"/>
    <mergeCell ref="A17:B17"/>
  </mergeCells>
  <printOptions/>
  <pageMargins left="0.7874015748031497" right="0.7874015748031497" top="0.984251968503937" bottom="0.984251968503937" header="0.5118110236220472" footer="0.5118110236220472"/>
  <pageSetup fitToHeight="1" fitToWidth="1"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liegeard</dc:creator>
  <cp:keywords/>
  <dc:description/>
  <cp:lastModifiedBy>GESTION4</cp:lastModifiedBy>
  <cp:lastPrinted>2009-11-06T13:25:42Z</cp:lastPrinted>
  <dcterms:created xsi:type="dcterms:W3CDTF">2008-10-30T10:20:12Z</dcterms:created>
  <dcterms:modified xsi:type="dcterms:W3CDTF">2013-01-15T12:46:31Z</dcterms:modified>
  <cp:category/>
  <cp:version/>
  <cp:contentType/>
  <cp:contentStatus/>
</cp:coreProperties>
</file>